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965c8e3bb48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culator" sheetId="1" r:id="Rabe9b071b9614af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00;[Red](#,##0.0000);0"/>
    <x:numFmt numFmtId="201" formatCode="$#,##0.000000;[Red]($#,##0.000000);$0"/>
    <x:numFmt numFmtId="202" formatCode="#,##0.000000;[Red](#,##0.000000);0"/>
    <x:numFmt numFmtId="203" formatCode="0.00%;[Red](0.00%);0%"/>
  </x:numFmts>
  <x:fonts count="5">
    <x:font>
      <x:sz val="11"/>
      <x:name val="Carlito"/>
    </x:font>
    <x:font>
      <x:sz val="11"/>
      <x:color rgb="FF172D43"/>
      <x:name val="Arial"/>
    </x:font>
    <x:font>
      <x:b/>
      <x:sz val="16"/>
      <x:color rgb="FFFFFFFF"/>
      <x:name val="Arial"/>
    </x:font>
    <x:font>
      <x:i/>
      <x:sz val="10"/>
      <x:color rgb="FF475569"/>
      <x:name val="Arial"/>
    </x:font>
    <x:font>
      <x:sz val="11"/>
      <x:color rgb="FF1557A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2D43"/>
      </x:patternFill>
    </x:fill>
    <x:fill>
      <x:patternFill patternType="solid">
        <x:fgColor rgb="FFE0F1F0"/>
      </x:patternFill>
    </x:fill>
    <x:fill>
      <x:patternFill patternType="solid">
        <x:fgColor rgb="FFEDF5F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2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wrapText="1"/>
    </x:xf>
    <x:xf numFmtId="200" fontId="4" fillId="4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  <x:xf numFmtId="202" fontId="1" fillId="0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 applyAlignment="1">
      <x:alignment wrapText="1"/>
    </x:xf>
    <x:xf numFmtId="202" fontId="1" fillId="3" borderId="0" xfId="0" applyNumberFormat="1" applyFont="1" applyFill="1" applyBorder="1" applyAlignment="1">
      <x:alignment wrapText="1"/>
    </x:xf>
    <x:xf numFmtId="201" fontId="1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1450f504674a3a" /><Relationship Type="http://schemas.openxmlformats.org/officeDocument/2006/relationships/theme" Target="/xl/theme/theme1.xml" Id="R1ebf159a0d044108" /><Relationship Type="http://schemas.openxmlformats.org/officeDocument/2006/relationships/sharedStrings" Target="/xl/sharedStrings.xml" Id="Re67f2505bc9b47c9" /><Relationship Type="http://schemas.openxmlformats.org/officeDocument/2006/relationships/worksheet" Target="/xl/worksheets/sheet1.xml" Id="Rabe9b071b9614af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53" hidden="0" customWidth="1"/>
    <x:col min="2" max="2" width="17" hidden="0" customWidth="1"/>
    <x:col min="3" max="3" width="35" hidden="0" customWidth="1"/>
    <x:col min="4" max="4" width="3" hidden="0" customWidth="1"/>
    <x:col min="5" max="5" width="3" hidden="0" customWidth="1"/>
    <x:col min="6" max="6" width="57" hidden="0" customWidth="1"/>
    <x:col min="7" max="7" width="29" hidden="0" customWidth="1"/>
    <x:col min="8" max="8" width="3" hidden="0" customWidth="1"/>
  </x:cols>
  <x:sheetData>
    <x:row r="1" ht="26" customHeight="1">
      <x:c r="A1" s="3" t="str">
        <x:v>Vending Profit Calculator</x:v>
      </x:c>
      <x:c r="B1" s="3"/>
      <x:c r="C1" s="3"/>
      <x:c r="D1" s="3"/>
      <x:c r="E1" s="3"/>
      <x:c r="F1" s="3"/>
      <x:c r="G1" s="3"/>
      <x:c r="H1" s="3"/>
    </x:row>
    <x:row r="2" ht="26" customHeight="1">
      <x:c r="A2" s="4" t="str">
        <x:v>USA | USD | en-US | v1 | October 20, 2026 | Blue cells are editable illustrative assumptions.</x:v>
      </x:c>
      <x:c r="B2" s="4"/>
      <x:c r="C2" s="4"/>
      <x:c r="D2" s="4"/>
      <x:c r="E2" s="4"/>
      <x:c r="F2" s="4"/>
      <x:c r="G2" s="4"/>
      <x:c r="H2" s="4"/>
    </x:row>
    <x:row r="3" ht="26" customHeight="1">
      <x:c r="A3" s="4" t="str">
        <x:v>Format codes: 1 packaged item; 2 coffee cup (selected fl oz); 3 dispensed US gallon. The six tools are separate, not a linked forecast.</x:v>
      </x:c>
      <x:c r="B3" s="4"/>
      <x:c r="C3" s="4"/>
      <x:c r="D3" s="4"/>
      <x:c r="E3" s="4"/>
      <x:c r="F3" s="4"/>
      <x:c r="G3" s="4"/>
      <x:c r="H3" s="4"/>
    </x:row>
    <x:row r="4" ht="26" customHeight="1">
      <x:c r="A4" s="4" t="str">
        <x:v>Operating periods use entered days. Prices exclude collected sales tax. Profit excludes depreciation, financing, income tax and distributions.</x:v>
      </x:c>
      <x:c r="B4" s="4"/>
      <x:c r="C4" s="4"/>
      <x:c r="D4" s="4"/>
      <x:c r="E4" s="4"/>
      <x:c r="F4" s="4"/>
      <x:c r="G4" s="4"/>
      <x:c r="H4" s="4"/>
    </x:row>
    <x:row r="5">
      <x:c r="A5" s="1" t="str">
        <x:v>Inputs: use actual quotes, service logs and machine capacities.</x:v>
      </x:c>
      <x:c r="B5" s="1"/>
      <x:c r="C5" s="1"/>
      <x:c r="D5" s="1"/>
      <x:c r="E5" s="1"/>
      <x:c r="F5" s="1" t="str">
        <x:v>Input status</x:v>
      </x:c>
      <x:c r="G5" s="1" t="str">
        <x:f>IF(AND(AND(ISNUMBER(B8),B8&gt;=1,B8&lt;=3,MOD(B8,1)=0),AND(ISNUMBER(B9),B9&gt;=1,B9&lt;=366,MOD(B9,1)=0),AND(ISNUMBER(B10),B10&gt;=1,B10&lt;=10000,MOD(B10,1)=0),AND(ISNUMBER(B11),B11&gt;=0,B11&lt;=1000000000),AND(ISNUMBER(B12),B12&gt;=0,B12&lt;=100),AND(ISNUMBER(B13),B13&gt;=0,B13&lt;=1000000000),IF(OR(B8=1),AND(ISNUMBER(B14),B14&gt;=0,B14&lt;=1000000),TRUE),IF(OR(B8=1),AND(ISNUMBER(B15),B15&gt;=0.000001,B15&lt;=100),TRUE),IF(OR(B8=1),AND(ISNUMBER(B16),B16&gt;=0,B16&lt;=10000,MOD(B16,1)=0),TRUE),IF(OR(B8=1),AND(ISNUMBER(B17),B17&gt;=0,B17&lt;=10000,MOD(B17,1)=0),TRUE),IF(OR(B8=2),AND(ISNUMBER(B18),B18&gt;=0.01,B18&lt;=128),TRUE),IF(OR(B8=2),AND(ISNUMBER(B19),B19&gt;=0.000001,B19&lt;=1000),TRUE),IF(OR(B8=2),AND(ISNUMBER(B20),B20&gt;=0,B20&lt;=10000),TRUE),IF(OR(B8=2),AND(ISNUMBER(B21),B21&gt;=0,B21&lt;=1000),TRUE),IF(OR(B8=2),AND(ISNUMBER(B22),B22&gt;=0,B22&lt;=10000),TRUE),IF(OR(B8=2),AND(ISNUMBER(B23),B23&gt;=0.000001,B23&lt;=100),TRUE),IF(OR(B8=2),AND(ISNUMBER(B24),B24&gt;=0,B24&lt;=1000),TRUE),IF(OR(B8=2),AND(ISNUMBER(B25),B25&gt;=0,B25&lt;=1000),TRUE),IF(OR(B8=2),AND(ISNUMBER(B26),B26&gt;=0,B26&lt;=10000),TRUE),IF(OR(B8=2),AND(ISNUMBER(B27),B27&gt;=0,B27&lt;=10000),TRUE),IF(OR(B8=2),AND(ISNUMBER(B28),B28&gt;=0,B28&lt;=100000),TRUE),IF(OR(B8=2),AND(ISNUMBER(B29),B29&gt;=0,B29&lt;=100000,MOD(B29,1)=0),TRUE),IF(OR(B8=3),AND(ISNUMBER(B30),B30&gt;=0,B30&lt;=1000),TRUE),IF(OR(B8=3),AND(ISNUMBER(B31),B31&gt;=0.000001,B31&lt;=100),TRUE),IF(OR(B8=3),AND(ISNUMBER(B32),B32&gt;=0,B32&lt;=1000),TRUE),IF(OR(B8=3),AND(ISNUMBER(B33),B33&gt;=0,B33&lt;=1000000),TRUE),IF(OR(B8=3),AND(ISNUMBER(B34),B34&gt;=0,B34&lt;=10000000),TRUE),IF(OR(B8=2,B8=3),AND(ISNUMBER(B35),B35&gt;=0,B35&lt;=1000),TRUE),AND(ISNUMBER(B36),B36&gt;=0,B36&lt;=100),AND(ISNUMBER(B37),B37&gt;=0,B37&lt;=100),AND(ISNUMBER(B38),B38&gt;=0,B38&lt;=100),AND(ISNUMBER(B39),B39&gt;=0,B39&lt;=1000000000),AND(ISNUMBER(B40),B40&gt;=1,B40&lt;=1000),AND(ISNUMBER(B41),B41&gt;=0,B41&lt;=366,MOD(B41,1)=0),AND(ISNUMBER(B42),B42&gt;=0,B42&lt;=1000000000),AND(ISNUMBER(B43),B43&gt;=0,B43&lt;=1000000000),AND(ISNUMBER(B44),B44&gt;=0,B44&lt;=1000000000),AND(ISNUMBER(B45),B45&gt;=0,B45&lt;=1000000000),AND(ISNUMBER(B46),B46&gt;=0,B46&lt;=1000000000),AND(ISNUMBER(B47),B47&gt;=0,B47&lt;=1000000000),AND(ISNUMBER(B48),B48&gt;=0,B48&lt;=1000000000),AND(ISNUMBER(B49),B49&gt;=0,B49&lt;=1000000000),AND(ISNUMBER(B50),B50&gt;=0,B50&lt;=1000000000),AND(ISNUMBER(B51),B51&gt;=0,B51&lt;=1000000000),AND(ISNUMBER(B52),B52&gt;=0,B52&lt;=1000000000),AND(ISNUMBER(B53),B53&gt;=0,B53&lt;=1000000000),AND(ISNUMBER(B54),B54&gt;=0,B54&lt;=1000000000),AND(ISNUMBER(B55),B55&gt;=0,B55&lt;=1000000000)),"Valid inputs","Invalid inputs")</x:f>
        <x:v>Valid inputs</x:v>
      </x:c>
      <x:c r="H5" s="1"/>
    </x:row>
    <x:row r="6">
      <x:c r="A6" s="1"/>
      <x:c r="B6" s="1"/>
      <x:c r="C6" s="1"/>
      <x:c r="D6" s="1"/>
      <x:c r="E6" s="1"/>
      <x:c r="F6" s="1"/>
      <x:c r="G6" s="1"/>
      <x:c r="H6" s="1"/>
    </x:row>
    <x:row r="7">
      <x:c r="A7" s="1" t="str">
        <x:v>Editable input</x:v>
      </x:c>
      <x:c r="B7" s="1" t="str">
        <x:v>Value</x:v>
      </x:c>
      <x:c r="C7" s="1" t="str">
        <x:v>Allowed range / unit note</x:v>
      </x:c>
      <x:c r="D7" s="1"/>
      <x:c r="E7" s="1"/>
      <x:c r="F7" s="1" t="str">
        <x:v>Primary results</x:v>
      </x:c>
      <x:c r="G7" s="1" t="str">
        <x:v>Value</x:v>
      </x:c>
      <x:c r="H7" s="1"/>
    </x:row>
    <x:row r="8" ht="36" customHeight="1">
      <x:c r="A8" s="5" t="str">
        <x:v>Operating format</x:v>
      </x:c>
      <x:c r="B8" s="9" t="n">
        <x:v>1</x:v>
      </x:c>
      <x:c r="C8" s="5" t="str">
        <x:v>Whole; 1 to 3</x:v>
      </x:c>
      <x:c r="D8" s="1"/>
      <x:c r="E8" s="1"/>
      <x:c r="F8" s="6" t="str">
        <x:v>Operating profit before depreciation, interest and income tax</x:v>
      </x:c>
      <x:c r="G8" s="14" t="n">
        <x:f>G55</x:f>
        <x:v>1050.1592380952384</x:v>
      </x:c>
      <x:c r="H8" s="1"/>
    </x:row>
    <x:row r="9" ht="36" customHeight="1">
      <x:c r="A9" s="5" t="str">
        <x:v>Planning period (days)</x:v>
      </x:c>
      <x:c r="B9" s="9" t="n">
        <x:v>28</x:v>
      </x:c>
      <x:c r="C9" s="5" t="str">
        <x:v>Whole; 1 to 366</x:v>
      </x:c>
      <x:c r="D9" s="1"/>
      <x:c r="E9" s="1"/>
      <x:c r="F9" s="6" t="str">
        <x:v>Net sales</x:v>
      </x:c>
      <x:c r="G9" s="14" t="n">
        <x:f>G45</x:f>
        <x:v>2660</x:v>
      </x:c>
      <x:c r="H9" s="1"/>
    </x:row>
    <x:row r="10" ht="36" customHeight="1">
      <x:c r="A10" s="5" t="str">
        <x:v>Machines / locations in this identical cohort</x:v>
      </x:c>
      <x:c r="B10" s="9" t="n">
        <x:v>2</x:v>
      </x:c>
      <x:c r="C10" s="5" t="str">
        <x:v>Whole; 1 to 10000</x:v>
      </x:c>
      <x:c r="D10" s="1"/>
      <x:c r="E10" s="1"/>
      <x:c r="F10" s="6" t="str">
        <x:v>Dispensed units / period</x:v>
      </x:c>
      <x:c r="G10" s="13" t="n">
        <x:f>G41</x:f>
        <x:v>1064</x:v>
      </x:c>
      <x:c r="H10" s="1"/>
    </x:row>
    <x:row r="11" ht="36" customHeight="1">
      <x:c r="A11" s="5" t="str">
        <x:v>Demand per machine per day (items / cups / gallons)</x:v>
      </x:c>
      <x:c r="B11" s="9" t="n">
        <x:v>20</x:v>
      </x:c>
      <x:c r="C11" s="5" t="str">
        <x:v>0 to 1000000000</x:v>
      </x:c>
      <x:c r="D11" s="1"/>
      <x:c r="E11" s="1"/>
      <x:c r="F11" s="6" t="str">
        <x:v>Total unmet units / period</x:v>
      </x:c>
      <x:c r="G11" s="13" t="n">
        <x:f>G44</x:f>
        <x:v>56</x:v>
      </x:c>
      <x:c r="H11" s="1"/>
    </x:row>
    <x:row r="12" ht="36" customHeight="1">
      <x:c r="A12" s="5" t="str">
        <x:v>Available selling time (%)</x:v>
      </x:c>
      <x:c r="B12" s="9" t="n">
        <x:v>95</x:v>
      </x:c>
      <x:c r="C12" s="5" t="str">
        <x:v>0 to 100</x:v>
      </x:c>
      <x:c r="D12" s="1"/>
      <x:c r="E12" s="1"/>
      <x:c r="F12" s="6" t="str">
        <x:v>Paid route hours per period</x:v>
      </x:c>
      <x:c r="G12" s="13" t="n">
        <x:f>G30</x:f>
        <x:v>5.666666666666667</x:v>
      </x:c>
      <x:c r="H12" s="1"/>
    </x:row>
    <x:row r="13" ht="36" customHeight="1">
      <x:c r="A13" s="5" t="str">
        <x:v>Net price per item / cup / gallon (USD)</x:v>
      </x:c>
      <x:c r="B13" s="9" t="n">
        <x:v>2.5</x:v>
      </x:c>
      <x:c r="C13" s="5" t="str">
        <x:v>0 to 1000000000</x:v>
      </x:c>
      <x:c r="D13" s="1"/>
      <x:c r="E13" s="1"/>
      <x:c r="F13" s="6" t="str">
        <x:v>Operating profit less unpaid owner-work allowance</x:v>
      </x:c>
      <x:c r="G13" s="14" t="n">
        <x:f>G57</x:f>
        <x:v>950.1592380952384</x:v>
      </x:c>
      <x:c r="H13" s="1"/>
    </x:row>
    <x:row r="14" ht="36" customHeight="1">
      <x:c r="A14" s="5" t="str">
        <x:v>Landed purchase cost per packaged item (USD)</x:v>
      </x:c>
      <x:c r="B14" s="9" t="n">
        <x:v>0.8</x:v>
      </x:c>
      <x:c r="C14" s="5" t="str">
        <x:v>0 to 1000000; format 1</x:v>
      </x:c>
      <x:c r="D14" s="1"/>
      <x:c r="E14" s="1"/>
      <x:c r="F14" s="5"/>
      <x:c r="G14" s="5"/>
      <x:c r="H14" s="1"/>
    </x:row>
    <x:row r="15" ht="36" customHeight="1">
      <x:c r="A15" s="5" t="str">
        <x:v>Saleable yield after spoilage / writeoffs (%)</x:v>
      </x:c>
      <x:c r="B15" s="9" t="n">
        <x:v>98</x:v>
      </x:c>
      <x:c r="C15" s="5" t="str">
        <x:v>0.000001 to 100; format 1</x:v>
      </x:c>
      <x:c r="D15" s="1"/>
      <x:c r="E15" s="1"/>
      <x:c r="F15" s="5"/>
      <x:c r="G15" s="5"/>
      <x:c r="H15" s="1"/>
    </x:row>
    <x:row r="16" ht="36" customHeight="1">
      <x:c r="A16" s="5" t="str">
        <x:v>Slots per machine</x:v>
      </x:c>
      <x:c r="B16" s="9" t="n">
        <x:v>12</x:v>
      </x:c>
      <x:c r="C16" s="5" t="str">
        <x:v>Whole; 0 to 10000; format 1</x:v>
      </x:c>
      <x:c r="D16" s="1"/>
      <x:c r="E16" s="1"/>
      <x:c r="F16" s="5" t="str">
        <x:v>Calculation ledger</x:v>
      </x:c>
      <x:c r="G16" s="5" t="str">
        <x:v>Value</x:v>
      </x:c>
      <x:c r="H16" s="1"/>
    </x:row>
    <x:row r="17" ht="36" customHeight="1">
      <x:c r="A17" s="5" t="str">
        <x:v>Purchased items per slot per fill</x:v>
      </x:c>
      <x:c r="B17" s="9" t="n">
        <x:v>12</x:v>
      </x:c>
      <x:c r="C17" s="5" t="str">
        <x:v>Whole; 0 to 10000; format 1</x:v>
      </x:c>
      <x:c r="D17" s="1"/>
      <x:c r="E17" s="1"/>
      <x:c r="F17" s="5" t="str">
        <x:v>Packaged cost / dispensed item</x:v>
      </x:c>
      <x:c r="G17" s="10" t="n">
        <x:f>IF($G$5="Invalid inputs","Invalid inputs",IF(B8=1,B14/MAX(B15/100,0.000000000001),"Not selected"))</x:f>
        <x:v>0.8163265306122449</x:v>
      </x:c>
      <x:c r="H17" s="1"/>
    </x:row>
    <x:row r="18" ht="36" customHeight="1">
      <x:c r="A18" s="5" t="str">
        <x:v>Coffee serving (US fl oz)</x:v>
      </x:c>
      <x:c r="B18" s="9" t="n">
        <x:v>8</x:v>
      </x:c>
      <x:c r="C18" s="5" t="str">
        <x:v>0.01 to 128; format 2</x:v>
      </x:c>
      <x:c r="D18" s="1"/>
      <x:c r="E18" s="1"/>
      <x:c r="F18" s="5" t="str">
        <x:v>Coffee serving (liters)</x:v>
      </x:c>
      <x:c r="G18" s="11" t="n">
        <x:f>IF($G$5="Invalid inputs","Invalid inputs",B18*0.0295735295625)</x:f>
        <x:v>0.2365882365</x:v>
      </x:c>
      <x:c r="H18" s="1"/>
    </x:row>
    <x:row r="19" ht="36" customHeight="1">
      <x:c r="A19" s="5" t="str">
        <x:v>Beans per cup (g)</x:v>
      </x:c>
      <x:c r="B19" s="9" t="n">
        <x:v>8</x:v>
      </x:c>
      <x:c r="C19" s="5" t="str">
        <x:v>0.000001 to 1000; format 2</x:v>
      </x:c>
      <x:c r="D19" s="1"/>
      <x:c r="E19" s="1"/>
      <x:c r="F19" s="5" t="str">
        <x:v>Coffee ingredients / cup</x:v>
      </x:c>
      <x:c r="G19" s="10" t="str">
        <x:f>IF($G$5="Invalid inputs","Invalid inputs",IF(B8=2,(B19*B20/1000+B21*B22/1000+G18*B24)/MAX(B23/100,0.000000000001),"Not selected"))</x:f>
        <x:v>Not selected</x:v>
      </x:c>
      <x:c r="H19" s="1"/>
    </x:row>
    <x:row r="20" ht="36" customHeight="1">
      <x:c r="A20" s="5" t="str">
        <x:v>Beans landed cost (USD/kg)</x:v>
      </x:c>
      <x:c r="B20" s="9" t="n">
        <x:v>20</x:v>
      </x:c>
      <x:c r="C20" s="5" t="str">
        <x:v>0 to 10000; format 2</x:v>
      </x:c>
      <x:c r="D20" s="1"/>
      <x:c r="E20" s="1"/>
      <x:c r="F20" s="5" t="str">
        <x:v>Coffee consumed cost / cup</x:v>
      </x:c>
      <x:c r="G20" s="10" t="str">
        <x:f>IF($G$5="Invalid inputs","Invalid inputs",IF(B8=2,G19+B25+B35,"Not selected"))</x:f>
        <x:v>Not selected</x:v>
      </x:c>
      <x:c r="H20" s="1"/>
    </x:row>
    <x:row r="21" ht="36" customHeight="1">
      <x:c r="A21" s="5" t="str">
        <x:v>Milk / recipe powder per cup (g; 0 for black coffee)</x:v>
      </x:c>
      <x:c r="B21" s="9" t="n">
        <x:v>5</x:v>
      </x:c>
      <x:c r="C21" s="5" t="str">
        <x:v>0 to 1000; format 2</x:v>
      </x:c>
      <x:c r="D21" s="1"/>
      <x:c r="E21" s="1"/>
      <x:c r="F21" s="5" t="str">
        <x:v>Water consumed cost / US gallon</x:v>
      </x:c>
      <x:c r="G21" s="10" t="str">
        <x:f>IF($G$5="Invalid inputs","Invalid inputs",IF(B8=3,B30/MAX(B31/100,0.000000000001)+B32+B35,"Not selected"))</x:f>
        <x:v>Not selected</x:v>
      </x:c>
      <x:c r="H21" s="1"/>
    </x:row>
    <x:row r="22" ht="36" customHeight="1">
      <x:c r="A22" s="5" t="str">
        <x:v>Powder landed cost (USD/kg)</x:v>
      </x:c>
      <x:c r="B22" s="9" t="n">
        <x:v>12</x:v>
      </x:c>
      <x:c r="C22" s="5" t="str">
        <x:v>0 to 10000; format 2</x:v>
      </x:c>
      <x:c r="D22" s="1"/>
      <x:c r="E22" s="1"/>
      <x:c r="F22" s="5" t="str">
        <x:v>Consumed cost per dispensed unit</x:v>
      </x:c>
      <x:c r="G22" s="10" t="n">
        <x:f>IF($G$5="Invalid inputs","Invalid inputs",IF(B8=1,G17,IF(B8=2,G20,G21)))</x:f>
        <x:v>0.8163265306122449</x:v>
      </x:c>
      <x:c r="H22" s="1"/>
    </x:row>
    <x:row r="23" ht="36" customHeight="1">
      <x:c r="A23" s="5" t="str">
        <x:v>Coffee ingredient yield (%)</x:v>
      </x:c>
      <x:c r="B23" s="9" t="n">
        <x:v>95</x:v>
      </x:c>
      <x:c r="C23" s="5" t="str">
        <x:v>0.000001 to 100; format 2</x:v>
      </x:c>
      <x:c r="D23" s="1"/>
      <x:c r="E23" s="1"/>
      <x:c r="F23" s="5" t="str">
        <x:v>Retained price share after percentage charges</x:v>
      </x:c>
      <x:c r="G23" s="12" t="n">
        <x:f>IF($G$5="Invalid inputs","Invalid inputs",1-B36/100-B37/100*B38/100)</x:f>
        <x:v>0.876</x:v>
      </x:c>
      <x:c r="H23" s="1"/>
    </x:row>
    <x:row r="24" ht="36" customHeight="1">
      <x:c r="A24" s="5" t="str">
        <x:v>Coffee water cost (USD/L)</x:v>
      </x:c>
      <x:c r="B24" s="9" t="n">
        <x:v>0.004</x:v>
      </x:c>
      <x:c r="C24" s="5" t="str">
        <x:v>0 to 1000; format 2</x:v>
      </x:c>
      <x:c r="D24" s="1"/>
      <x:c r="E24" s="1"/>
      <x:c r="F24" s="5" t="str">
        <x:v>Fixed processing cost per total dispensed unit</x:v>
      </x:c>
      <x:c r="G24" s="10" t="n">
        <x:f>IF($G$5="Invalid inputs","Invalid inputs",B37/100*B39/B40)</x:f>
        <x:v>0.06400000000000002</x:v>
      </x:c>
      <x:c r="H24" s="1"/>
    </x:row>
    <x:row r="25" ht="36" customHeight="1">
      <x:c r="A25" s="5" t="str">
        <x:v>Cup and lid cost per serving (USD)</x:v>
      </x:c>
      <x:c r="B25" s="9" t="n">
        <x:v>0.12</x:v>
      </x:c>
      <x:c r="C25" s="5" t="str">
        <x:v>0 to 1000; format 2</x:v>
      </x:c>
      <x:c r="D25" s="1"/>
      <x:c r="E25" s="1"/>
      <x:c r="F25" s="5" t="str">
        <x:v>Contribution per dispensed unit</x:v>
      </x:c>
      <x:c r="G25" s="10" t="n">
        <x:f>IF($G$5="Invalid inputs","Invalid inputs",B13*G23-G22-G24)</x:f>
        <x:v>1.309673469387755</x:v>
      </x:c>
      <x:c r="H25" s="1"/>
    </x:row>
    <x:row r="26" ht="36" customHeight="1">
      <x:c r="A26" s="5" t="str">
        <x:v>Beans capacity per service (kg)</x:v>
      </x:c>
      <x:c r="B26" s="9" t="n">
        <x:v>1</x:v>
      </x:c>
      <x:c r="C26" s="5" t="str">
        <x:v>0 to 10000; format 2</x:v>
      </x:c>
      <x:c r="D26" s="1"/>
      <x:c r="E26" s="1"/>
      <x:c r="F26" s="5" t="str">
        <x:v>Minutes per complete route round</x:v>
      </x:c>
      <x:c r="G26" s="11" t="n">
        <x:f>IF($G$5="Invalid inputs","Invalid inputs",B42+B45+B10*(B43+B44))</x:f>
        <x:v>85</x:v>
      </x:c>
      <x:c r="H26" s="1"/>
    </x:row>
    <x:row r="27" ht="36" customHeight="1">
      <x:c r="A27" s="5" t="str">
        <x:v>Powder capacity per service (kg)</x:v>
      </x:c>
      <x:c r="B27" s="9" t="n">
        <x:v>1</x:v>
      </x:c>
      <x:c r="C27" s="5" t="str">
        <x:v>0 to 10000; format 2</x:v>
      </x:c>
      <x:c r="D27" s="1"/>
      <x:c r="E27" s="1"/>
      <x:c r="F27" s="5" t="str">
        <x:v>Feasible visits per machine / period</x:v>
      </x:c>
      <x:c r="G27" s="11" t="n">
        <x:f>IF($G$5="Invalid inputs","Invalid inputs",MIN(B41,B9,IF(G26=0,B41,INT(B48*60/G26))))</x:f>
        <x:v>4</x:v>
      </x:c>
      <x:c r="H27" s="1"/>
    </x:row>
    <x:row r="28" ht="36" customHeight="1">
      <x:c r="A28" s="5" t="str">
        <x:v>Filled reservoir water per service (L)</x:v>
      </x:c>
      <x:c r="B28" s="9" t="n">
        <x:v>30</x:v>
      </x:c>
      <x:c r="C28" s="5" t="str">
        <x:v>0 to 100000; format 2</x:v>
      </x:c>
      <x:c r="D28" s="1"/>
      <x:c r="E28" s="1"/>
      <x:c r="F28" s="5" t="str">
        <x:v>Requested schedule</x:v>
      </x:c>
      <x:c r="G28" s="11" t="str">
        <x:f>IF($G$5="Invalid inputs","Invalid inputs",IF(G27&lt;B41,"Time budget limits visits","Schedule fits"))</x:f>
        <x:v>Schedule fits</x:v>
      </x:c>
      <x:c r="H28" s="1"/>
    </x:row>
    <x:row r="29" ht="36" customHeight="1">
      <x:c r="A29" s="5" t="str">
        <x:v>Cups loaded per service</x:v>
      </x:c>
      <x:c r="B29" s="9" t="n">
        <x:v>150</x:v>
      </x:c>
      <x:c r="C29" s="5" t="str">
        <x:v>Whole; 0 to 100000; format 2</x:v>
      </x:c>
      <x:c r="D29" s="1"/>
      <x:c r="E29" s="1"/>
      <x:c r="F29" s="5" t="str">
        <x:v>Evenly spaced service interval (days)</x:v>
      </x:c>
      <x:c r="G29" s="11" t="n">
        <x:f>IF($G$5="Invalid inputs","Invalid inputs",IF(G27=0,"No visits",B9/G27))</x:f>
        <x:v>7</x:v>
      </x:c>
      <x:c r="H29" s="1"/>
    </x:row>
    <x:row r="30" ht="36" customHeight="1">
      <x:c r="A30" s="5" t="str">
        <x:v>Feedwater and sewer cost (USD / feed gallon)</x:v>
      </x:c>
      <x:c r="B30" s="9" t="n">
        <x:v>0.01</x:v>
      </x:c>
      <x:c r="C30" s="5" t="str">
        <x:v>0 to 1000; format 3</x:v>
      </x:c>
      <x:c r="D30" s="1"/>
      <x:c r="E30" s="1"/>
      <x:c r="F30" s="5" t="str">
        <x:v>Paid route hours per period</x:v>
      </x:c>
      <x:c r="G30" s="11" t="n">
        <x:f>IF($G$5="Invalid inputs","Invalid inputs",G27*G26/60)</x:f>
        <x:v>5.666666666666667</x:v>
      </x:c>
      <x:c r="H30" s="1"/>
    </x:row>
    <x:row r="31" ht="36" customHeight="1">
      <x:c r="A31" s="5" t="str">
        <x:v>Saleable water recovery (%)</x:v>
      </x:c>
      <x:c r="B31" s="9" t="n">
        <x:v>50</x:v>
      </x:c>
      <x:c r="C31" s="5" t="str">
        <x:v>0.000001 to 100; format 3</x:v>
      </x:c>
      <x:c r="D31" s="1"/>
      <x:c r="E31" s="1"/>
      <x:c r="F31" s="5" t="str">
        <x:v>Paid route labor</x:v>
      </x:c>
      <x:c r="G31" s="10" t="n">
        <x:f>IF($G$5="Invalid inputs","Invalid inputs",G30*B49)</x:f>
        <x:v>113.33333333333334</x:v>
      </x:c>
      <x:c r="H31" s="1"/>
    </x:row>
    <x:row r="32" ht="36" customHeight="1">
      <x:c r="A32" s="5" t="str">
        <x:v>Filter media consumed (USD / dispensed gallon)</x:v>
      </x:c>
      <x:c r="B32" s="9" t="n">
        <x:v>0.03</x:v>
      </x:c>
      <x:c r="C32" s="5" t="str">
        <x:v>0 to 1000; format 3</x:v>
      </x:c>
      <x:c r="D32" s="1"/>
      <x:c r="E32" s="1"/>
      <x:c r="F32" s="5" t="str">
        <x:v>Route vehicle operating cost</x:v>
      </x:c>
      <x:c r="G32" s="10" t="n">
        <x:f>IF($G$5="Invalid inputs","Invalid inputs",G27*B46*B47)</x:f>
        <x:v>40</x:v>
      </x:c>
      <x:c r="H32" s="1"/>
    </x:row>
    <x:row r="33" ht="36" customHeight="1">
      <x:c r="A33" s="5" t="str">
        <x:v>Feed supply (gallons / machine / day)</x:v>
      </x:c>
      <x:c r="B33" s="9" t="n">
        <x:v>100</x:v>
      </x:c>
      <x:c r="C33" s="5" t="str">
        <x:v>0 to 1000000; format 3</x:v>
      </x:c>
      <x:c r="D33" s="1"/>
      <x:c r="E33" s="1"/>
      <x:c r="F33" s="5" t="str">
        <x:v>Coffee capacity per machine / service (cups)</x:v>
      </x:c>
      <x:c r="G33" s="11" t="n">
        <x:f>IF($G$5="Invalid inputs","Invalid inputs",IF(B21=0,MIN(B26*1000/B19*(B23/100),B28/G18*(B23/100),B29),MIN(B26*1000/B19*(B23/100),B27*1000/B21*(B23/100),B28/G18*(B23/100),B29)))</x:f>
        <x:v>118.75</x:v>
      </x:c>
      <x:c r="H33" s="1"/>
    </x:row>
    <x:row r="34" ht="36" customHeight="1">
      <x:c r="A34" s="5" t="str">
        <x:v>Dispensed gallons between filter services</x:v>
      </x:c>
      <x:c r="B34" s="9" t="n">
        <x:v>500</x:v>
      </x:c>
      <x:c r="C34" s="5" t="str">
        <x:v>0 to 10000000; format 3</x:v>
      </x:c>
      <x:c r="D34" s="1"/>
      <x:c r="E34" s="1"/>
      <x:c r="F34" s="5" t="str">
        <x:v>Saleable units per machine / service</x:v>
      </x:c>
      <x:c r="G34" s="11" t="n">
        <x:f>IF($G$5="Invalid inputs","Invalid inputs",IF(B8=1,B16*B17*(B15/100),IF(B8=2,G33,B34)))</x:f>
        <x:v>141.12</x:v>
      </x:c>
      <x:c r="H34" s="1"/>
    </x:row>
    <x:row r="35" ht="36" customHeight="1">
      <x:c r="A35" s="5" t="str">
        <x:v>Electricity per cup / dispensed gallon (USD)</x:v>
      </x:c>
      <x:c r="B35" s="9" t="n">
        <x:v>0.015</x:v>
      </x:c>
      <x:c r="C35" s="5" t="str">
        <x:v>0 to 1000; format 2/3</x:v>
      </x:c>
      <x:c r="D35" s="1"/>
      <x:c r="E35" s="1"/>
      <x:c r="F35" s="5" t="str">
        <x:v>Stock / service capacity across cohort</x:v>
      </x:c>
      <x:c r="G35" s="11" t="n">
        <x:f>IF($G$5="Invalid inputs","Invalid inputs",G34*B10*G27)</x:f>
        <x:v>1128.96</x:v>
      </x:c>
      <x:c r="H35" s="1"/>
    </x:row>
    <x:row r="36" ht="36" customHeight="1">
      <x:c r="A36" s="5" t="str">
        <x:v>Location commission (% of net sales)</x:v>
      </x:c>
      <x:c r="B36" s="9" t="n">
        <x:v>10</x:v>
      </x:c>
      <x:c r="C36" s="5" t="str">
        <x:v>0 to 100</x:v>
      </x:c>
      <x:c r="D36" s="1"/>
      <x:c r="E36" s="1"/>
      <x:c r="F36" s="5" t="str">
        <x:v>Throughput capacity at uptime</x:v>
      </x:c>
      <x:c r="G36" s="11" t="n">
        <x:f>IF($G$5="Invalid inputs","Invalid inputs",B50*B9*B10*B12/100)</x:f>
        <x:v>10640</x:v>
      </x:c>
      <x:c r="H36" s="1"/>
    </x:row>
    <x:row r="37" ht="36" customHeight="1">
      <x:c r="A37" s="5" t="str">
        <x:v>Card share of sales and items (%)</x:v>
      </x:c>
      <x:c r="B37" s="9" t="n">
        <x:v>80</x:v>
      </x:c>
      <x:c r="C37" s="5" t="str">
        <x:v>0 to 100</x:v>
      </x:c>
      <x:c r="D37" s="1"/>
      <x:c r="E37" s="1"/>
      <x:c r="F37" s="5" t="str">
        <x:v>Water feed limit at uptime (gallons)</x:v>
      </x:c>
      <x:c r="G37" s="11" t="n">
        <x:f>IF($G$5="Invalid inputs","Invalid inputs",B33*B31/100*B9*B10*B12/100)</x:f>
        <x:v>2660</x:v>
      </x:c>
      <x:c r="H37" s="1"/>
    </x:row>
    <x:row r="38" ht="36" customHeight="1">
      <x:c r="A38" s="5" t="str">
        <x:v>Card processing (% of card net sales)</x:v>
      </x:c>
      <x:c r="B38" s="9" t="n">
        <x:v>3</x:v>
      </x:c>
      <x:c r="C38" s="5" t="str">
        <x:v>0 to 100</x:v>
      </x:c>
      <x:c r="D38" s="1"/>
      <x:c r="E38" s="1"/>
      <x:c r="F38" s="5" t="str">
        <x:v>Maximum sellable units / period</x:v>
      </x:c>
      <x:c r="G38" s="11" t="n">
        <x:f>IF($G$5="Invalid inputs","Invalid inputs",IF(B8=3,MIN(G35,G36,G37),MIN(G35,G36)))</x:f>
        <x:v>1128.96</x:v>
      </x:c>
      <x:c r="H38" s="1"/>
    </x:row>
    <x:row r="39" ht="36" customHeight="1">
      <x:c r="A39" s="5" t="str">
        <x:v>Processing fee per card transaction (USD)</x:v>
      </x:c>
      <x:c r="B39" s="9" t="n">
        <x:v>0.1</x:v>
      </x:c>
      <x:c r="C39" s="5" t="str">
        <x:v>0 to 1000000000</x:v>
      </x:c>
      <x:c r="D39" s="1"/>
      <x:c r="E39" s="1"/>
      <x:c r="F39" s="5" t="str">
        <x:v>Requested units before downtime</x:v>
      </x:c>
      <x:c r="G39" s="11" t="n">
        <x:f>IF($G$5="Invalid inputs","Invalid inputs",B10*B11*B9)</x:f>
        <x:v>1120</x:v>
      </x:c>
      <x:c r="H39" s="1"/>
    </x:row>
    <x:row r="40" ht="36" customHeight="1">
      <x:c r="A40" s="5" t="str">
        <x:v>Items / cups / gallons per card transaction</x:v>
      </x:c>
      <x:c r="B40" s="9" t="n">
        <x:v>1.25</x:v>
      </x:c>
      <x:c r="C40" s="5" t="str">
        <x:v>1 to 1000</x:v>
      </x:c>
      <x:c r="D40" s="1"/>
      <x:c r="E40" s="1"/>
      <x:c r="F40" s="5" t="str">
        <x:v>Demand during uptime</x:v>
      </x:c>
      <x:c r="G40" s="11" t="n">
        <x:f>IF($G$5="Invalid inputs","Invalid inputs",G39*B12/100)</x:f>
        <x:v>1064</x:v>
      </x:c>
      <x:c r="H40" s="1"/>
    </x:row>
    <x:row r="41" ht="36" customHeight="1">
      <x:c r="A41" s="5" t="str">
        <x:v>Requested service visits per machine / period</x:v>
      </x:c>
      <x:c r="B41" s="9" t="n">
        <x:v>4</x:v>
      </x:c>
      <x:c r="C41" s="5" t="str">
        <x:v>Whole; 0 to 366</x:v>
      </x:c>
      <x:c r="D41" s="1"/>
      <x:c r="E41" s="1"/>
      <x:c r="F41" s="5" t="str">
        <x:v>Dispensed units / period</x:v>
      </x:c>
      <x:c r="G41" s="11" t="n">
        <x:f>IF($G$5="Invalid inputs","Invalid inputs",MIN(G40,G38))</x:f>
        <x:v>1064</x:v>
      </x:c>
      <x:c r="H41" s="1"/>
    </x:row>
    <x:row r="42" ht="36" customHeight="1">
      <x:c r="A42" s="5" t="str">
        <x:v>Loading minutes per complete round</x:v>
      </x:c>
      <x:c r="B42" s="9" t="n">
        <x:v>15</x:v>
      </x:c>
      <x:c r="C42" s="5" t="str">
        <x:v>0 to 1000000000</x:v>
      </x:c>
      <x:c r="D42" s="1"/>
      <x:c r="E42" s="1"/>
      <x:c r="F42" s="5" t="str">
        <x:v>Unmet demand from downtime</x:v>
      </x:c>
      <x:c r="G42" s="11" t="n">
        <x:f>IF($G$5="Invalid inputs","Invalid inputs",G39-G40)</x:f>
        <x:v>56</x:v>
      </x:c>
      <x:c r="H42" s="1"/>
    </x:row>
    <x:row r="43" ht="36" customHeight="1">
      <x:c r="A43" s="5" t="str">
        <x:v>Refill minutes per machine per visit</x:v>
      </x:c>
      <x:c r="B43" s="9" t="n">
        <x:v>12</x:v>
      </x:c>
      <x:c r="C43" s="5" t="str">
        <x:v>0 to 1000000000</x:v>
      </x:c>
      <x:c r="D43" s="1"/>
      <x:c r="E43" s="1"/>
      <x:c r="F43" s="5" t="str">
        <x:v>Unmet demand from stock / supply / throughput</x:v>
      </x:c>
      <x:c r="G43" s="11" t="n">
        <x:f>IF($G$5="Invalid inputs","Invalid inputs",G40-G41)</x:f>
        <x:v>0</x:v>
      </x:c>
      <x:c r="H43" s="1"/>
    </x:row>
    <x:row r="44" ht="36" customHeight="1">
      <x:c r="A44" s="5" t="str">
        <x:v>Cleaning / service minutes per machine per visit</x:v>
      </x:c>
      <x:c r="B44" s="9" t="n">
        <x:v>3</x:v>
      </x:c>
      <x:c r="C44" s="5" t="str">
        <x:v>0 to 1000000000</x:v>
      </x:c>
      <x:c r="D44" s="1"/>
      <x:c r="E44" s="1"/>
      <x:c r="F44" s="5" t="str">
        <x:v>Total unmet units / period</x:v>
      </x:c>
      <x:c r="G44" s="11" t="n">
        <x:f>IF($G$5="Invalid inputs","Invalid inputs",G39-G41)</x:f>
        <x:v>56</x:v>
      </x:c>
      <x:c r="H44" s="1"/>
    </x:row>
    <x:row r="45" ht="36" customHeight="1">
      <x:c r="A45" s="5" t="str">
        <x:v>Driving minutes per complete round</x:v>
      </x:c>
      <x:c r="B45" s="9" t="n">
        <x:v>40</x:v>
      </x:c>
      <x:c r="C45" s="5" t="str">
        <x:v>0 to 1000000000</x:v>
      </x:c>
      <x:c r="D45" s="1"/>
      <x:c r="E45" s="1"/>
      <x:c r="F45" s="5" t="str">
        <x:v>Net sales</x:v>
      </x:c>
      <x:c r="G45" s="10" t="n">
        <x:f>IF($G$5="Invalid inputs","Invalid inputs",G41*B13)</x:f>
        <x:v>2660</x:v>
      </x:c>
      <x:c r="H45" s="1"/>
    </x:row>
    <x:row r="46" ht="36" customHeight="1">
      <x:c r="A46" s="5" t="str">
        <x:v>Miles per complete round</x:v>
      </x:c>
      <x:c r="B46" s="9" t="n">
        <x:v>20</x:v>
      </x:c>
      <x:c r="C46" s="5" t="str">
        <x:v>0 to 1000000000</x:v>
      </x:c>
      <x:c r="D46" s="1"/>
      <x:c r="E46" s="1"/>
      <x:c r="F46" s="5" t="str">
        <x:v>Resources consumed, including yield loss</x:v>
      </x:c>
      <x:c r="G46" s="10" t="n">
        <x:f>IF($G$5="Invalid inputs","Invalid inputs",G41*G22)</x:f>
        <x:v>868.5714285714286</x:v>
      </x:c>
      <x:c r="H46" s="1"/>
    </x:row>
    <x:row r="47" ht="36" customHeight="1">
      <x:c r="A47" s="5" t="str">
        <x:v>Vehicle cash operating cost (USD/mile)</x:v>
      </x:c>
      <x:c r="B47" s="9" t="n">
        <x:v>0.5</x:v>
      </x:c>
      <x:c r="C47" s="5" t="str">
        <x:v>0 to 1000000000</x:v>
      </x:c>
      <x:c r="D47" s="1"/>
      <x:c r="E47" s="1"/>
      <x:c r="F47" s="5" t="str">
        <x:v>Packaged purchases-equivalent units consumed</x:v>
      </x:c>
      <x:c r="G47" s="11" t="n">
        <x:f>IF($G$5="Invalid inputs","Invalid inputs",IF(B8=1,G41/(B15/100),"Not packaged"))</x:f>
        <x:v>1085.7142857142858</x:v>
      </x:c>
      <x:c r="H47" s="1"/>
    </x:row>
    <x:row r="48" ht="36" customHeight="1">
      <x:c r="A48" s="5" t="str">
        <x:v>Available paid route hours per period</x:v>
      </x:c>
      <x:c r="B48" s="9" t="n">
        <x:v>20</x:v>
      </x:c>
      <x:c r="C48" s="5" t="str">
        <x:v>0 to 1000000000</x:v>
      </x:c>
      <x:c r="D48" s="1"/>
      <x:c r="E48" s="1"/>
      <x:c r="F48" s="5" t="str">
        <x:v>Expected card transaction equivalents</x:v>
      </x:c>
      <x:c r="G48" s="11" t="n">
        <x:f>IF($G$5="Invalid inputs","Invalid inputs",G41*B37/100/B40)</x:f>
        <x:v>680.96</x:v>
      </x:c>
      <x:c r="H48" s="1"/>
    </x:row>
    <x:row r="49" ht="36" customHeight="1">
      <x:c r="A49" s="5" t="str">
        <x:v>Paid route labor, loaded cost (USD/hour)</x:v>
      </x:c>
      <x:c r="B49" s="9" t="n">
        <x:v>20</x:v>
      </x:c>
      <x:c r="C49" s="5" t="str">
        <x:v>0 to 1000000000</x:v>
      </x:c>
      <x:c r="D49" s="1"/>
      <x:c r="E49" s="1"/>
      <x:c r="F49" s="5" t="str">
        <x:v>Card processing cost</x:v>
      </x:c>
      <x:c r="G49" s="10" t="n">
        <x:f>IF($G$5="Invalid inputs","Invalid inputs",G45*B37/100*B38/100+G48*B39)</x:f>
        <x:v>131.936</x:v>
      </x:c>
      <x:c r="H49" s="1"/>
    </x:row>
    <x:row r="50" ht="36" customHeight="1">
      <x:c r="A50" s="5" t="str">
        <x:v>Maximum dispensed units per machine / available day</x:v>
      </x:c>
      <x:c r="B50" s="9" t="n">
        <x:v>200</x:v>
      </x:c>
      <x:c r="C50" s="5" t="str">
        <x:v>0 to 1000000000</x:v>
      </x:c>
      <x:c r="D50" s="1"/>
      <x:c r="E50" s="1"/>
      <x:c r="F50" s="5" t="str">
        <x:v>Percentage location commission</x:v>
      </x:c>
      <x:c r="G50" s="10" t="n">
        <x:f>IF($G$5="Invalid inputs","Invalid inputs",G45*B36/100)</x:f>
        <x:v>266</x:v>
      </x:c>
      <x:c r="H50" s="1"/>
    </x:row>
    <x:row r="51" ht="36" customHeight="1">
      <x:c r="A51" s="5" t="str">
        <x:v>Fixed location fee (USD/machine/period)</x:v>
      </x:c>
      <x:c r="B51" s="9" t="n">
        <x:v>20</x:v>
      </x:c>
      <x:c r="C51" s="5" t="str">
        <x:v>0 to 1000000000</x:v>
      </x:c>
      <x:c r="D51" s="1"/>
      <x:c r="E51" s="1"/>
      <x:c r="F51" s="5" t="str">
        <x:v>Contribution before route and fixed costs</x:v>
      </x:c>
      <x:c r="G51" s="10" t="n">
        <x:f>IF($G$5="Invalid inputs","Invalid inputs",G45-G46-G49-G50)</x:f>
        <x:v>1393.4925714285716</x:v>
      </x:c>
      <x:c r="H51" s="1"/>
    </x:row>
    <x:row r="52" ht="36" customHeight="1">
      <x:c r="A52" s="5" t="str">
        <x:v>Fixed maintenance labor / repairs (USD/machine/period)</x:v>
      </x:c>
      <x:c r="B52" s="9" t="n">
        <x:v>25</x:v>
      </x:c>
      <x:c r="C52" s="5" t="str">
        <x:v>0 to 1000000000</x:v>
      </x:c>
      <x:c r="D52" s="1"/>
      <x:c r="E52" s="1"/>
      <x:c r="F52" s="5" t="str">
        <x:v>Fixed location fees</x:v>
      </x:c>
      <x:c r="G52" s="10" t="n">
        <x:f>IF($G$5="Invalid inputs","Invalid inputs",B10*B51)</x:f>
        <x:v>40</x:v>
      </x:c>
      <x:c r="H52" s="1"/>
    </x:row>
    <x:row r="53" ht="36" customHeight="1">
      <x:c r="A53" s="5" t="str">
        <x:v>Other fixed operating expenses (USD/period)</x:v>
      </x:c>
      <x:c r="B53" s="9" t="n">
        <x:v>100</x:v>
      </x:c>
      <x:c r="C53" s="5" t="str">
        <x:v>0 to 1000000000</x:v>
      </x:c>
      <x:c r="D53" s="1"/>
      <x:c r="E53" s="1"/>
      <x:c r="F53" s="5" t="str">
        <x:v>Fixed maintenance labor / repairs</x:v>
      </x:c>
      <x:c r="G53" s="10" t="n">
        <x:f>IF($G$5="Invalid inputs","Invalid inputs",B10*B52)</x:f>
        <x:v>50</x:v>
      </x:c>
      <x:c r="H53" s="1"/>
    </x:row>
    <x:row r="54" ht="36" customHeight="1">
      <x:c r="A54" s="5" t="str">
        <x:v>Unpaid owner hours outside paid route labor / period</x:v>
      </x:c>
      <x:c r="B54" s="9" t="n">
        <x:v>4</x:v>
      </x:c>
      <x:c r="C54" s="5" t="str">
        <x:v>0 to 1000000000</x:v>
      </x:c>
      <x:c r="D54" s="1"/>
      <x:c r="E54" s="1"/>
      <x:c r="F54" s="5" t="str">
        <x:v>Route and fixed operating costs</x:v>
      </x:c>
      <x:c r="G54" s="10" t="n">
        <x:f>IF($G$5="Invalid inputs","Invalid inputs",G31+G32+G52+G53+B53)</x:f>
        <x:v>343.33333333333337</x:v>
      </x:c>
      <x:c r="H54" s="1"/>
    </x:row>
    <x:row r="55" ht="36" customHeight="1">
      <x:c r="A55" s="5" t="str">
        <x:v>Owner-work allowance (USD/hour)</x:v>
      </x:c>
      <x:c r="B55" s="9" t="n">
        <x:v>25</x:v>
      </x:c>
      <x:c r="C55" s="5" t="str">
        <x:v>0 to 1000000000</x:v>
      </x:c>
      <x:c r="D55" s="1"/>
      <x:c r="E55" s="1"/>
      <x:c r="F55" s="5" t="str">
        <x:v>Operating profit before depreciation, interest and income tax</x:v>
      </x:c>
      <x:c r="G55" s="10" t="n">
        <x:f>IF($G$5="Invalid inputs","Invalid inputs",G51-G54)</x:f>
        <x:v>1050.1592380952384</x:v>
      </x:c>
      <x:c r="H55" s="1"/>
    </x:row>
    <x:row r="56" ht="36" customHeight="1">
      <x:c r="A56" s="1"/>
      <x:c r="B56" s="1"/>
      <x:c r="C56" s="1"/>
      <x:c r="D56" s="1"/>
      <x:c r="E56" s="1"/>
      <x:c r="F56" s="5" t="str">
        <x:v>Unpaid owner-work allowance</x:v>
      </x:c>
      <x:c r="G56" s="10" t="n">
        <x:f>IF($G$5="Invalid inputs","Invalid inputs",B54*B55)</x:f>
        <x:v>100</x:v>
      </x:c>
      <x:c r="H56" s="1"/>
    </x:row>
    <x:row r="57" ht="36" customHeight="1">
      <x:c r="A57" s="1"/>
      <x:c r="B57" s="1"/>
      <x:c r="C57" s="1"/>
      <x:c r="D57" s="1"/>
      <x:c r="E57" s="1"/>
      <x:c r="F57" s="5" t="str">
        <x:v>Operating profit less unpaid owner-work allowance</x:v>
      </x:c>
      <x:c r="G57" s="10" t="n">
        <x:f>IF($G$5="Invalid inputs","Invalid inputs",G55-G56)</x:f>
        <x:v>950.1592380952384</x:v>
      </x:c>
      <x:c r="H57" s="1"/>
    </x:row>
    <x:row r="58" ht="36" customHeight="1">
      <x:c r="A58" s="1"/>
      <x:c r="B58" s="1"/>
      <x:c r="C58" s="1"/>
      <x:c r="D58" s="1"/>
      <x:c r="E58" s="1"/>
      <x:c r="F58" s="5" t="str">
        <x:v>Operating margin</x:v>
      </x:c>
      <x:c r="G58" s="12" t="n">
        <x:f>IF($G$5="Invalid inputs","Invalid inputs",IF(G45=0,"Undefined",G55/G45))</x:f>
        <x:v>0.3947967060508415</x:v>
      </x:c>
      <x:c r="H58" s="1"/>
    </x:row>
    <x:row r="59" ht="36" customHeight="1">
      <x:c r="A59" s="1"/>
      <x:c r="B59" s="1"/>
      <x:c r="C59" s="1"/>
      <x:c r="D59" s="1"/>
      <x:c r="E59" s="1"/>
      <x:c r="F59" s="5" t="str">
        <x:v>Annualized steady-state operating profit (365 days)</x:v>
      </x:c>
      <x:c r="G59" s="10" t="n">
        <x:f>IF($G$5="Invalid inputs","Invalid inputs",G55/B9*365)</x:f>
        <x:v>13689.57578231293</x:v>
      </x:c>
      <x:c r="H59" s="1"/>
    </x:row>
    <x:row r="60">
      <x:c r="A60" s="1"/>
      <x:c r="B60" s="1"/>
      <x:c r="C60" s="1"/>
      <x:c r="D60" s="1"/>
      <x:c r="E60" s="1"/>
      <x:c r="F60" s="1"/>
      <x:c r="G60" s="1"/>
      <x:c r="H60" s="1"/>
    </x:row>
  </x:sheetData>
  <x:mergeCells>
    <x:mergeCell ref="A1:H1"/>
    <x:mergeCell ref="A2:H2"/>
    <x:mergeCell ref="A3:H3"/>
    <x:mergeCell ref="A4:H4"/>
    <x:mergeCell ref="A5:D5"/>
  </x:mergeCells>
  <x:dataValidations count="48">
    <x:dataValidation type="whole" operator="between" sqref="B8">
      <x:formula1>1</x:formula1>
      <x:formula2>3</x:formula2>
    </x:dataValidation>
    <x:dataValidation type="whole" operator="between" sqref="B9">
      <x:formula1>1</x:formula1>
      <x:formula2>366</x:formula2>
    </x:dataValidation>
    <x:dataValidation type="whole" operator="between" sqref="B10">
      <x:formula1>1</x:formula1>
      <x:formula2>10000</x:formula2>
    </x:dataValidation>
    <x:dataValidation type="decimal" operator="between" sqref="B11">
      <x:formula1>0</x:formula1>
      <x:formula2>1000000000</x:formula2>
    </x:dataValidation>
    <x:dataValidation type="decimal" operator="between" sqref="B12">
      <x:formula1>0</x:formula1>
      <x:formula2>100</x:formula2>
    </x:dataValidation>
    <x:dataValidation type="decimal" operator="between" sqref="B13">
      <x:formula1>0</x:formula1>
      <x:formula2>1000000000</x:formula2>
    </x:dataValidation>
    <x:dataValidation type="decimal" operator="between" sqref="B14">
      <x:formula1>0</x:formula1>
      <x:formula2>1000000</x:formula2>
    </x:dataValidation>
    <x:dataValidation type="decimal" operator="between" sqref="B15">
      <x:formula1>0.000001</x:formula1>
      <x:formula2>100</x:formula2>
    </x:dataValidation>
    <x:dataValidation type="whole" operator="between" sqref="B16">
      <x:formula1>0</x:formula1>
      <x:formula2>10000</x:formula2>
    </x:dataValidation>
    <x:dataValidation type="whole" operator="between" sqref="B17">
      <x:formula1>0</x:formula1>
      <x:formula2>10000</x:formula2>
    </x:dataValidation>
    <x:dataValidation type="decimal" operator="between" sqref="B18">
      <x:formula1>0.01</x:formula1>
      <x:formula2>128</x:formula2>
    </x:dataValidation>
    <x:dataValidation type="decimal" operator="between" sqref="B19">
      <x:formula1>0.000001</x:formula1>
      <x:formula2>1000</x:formula2>
    </x:dataValidation>
    <x:dataValidation type="decimal" operator="between" sqref="B20">
      <x:formula1>0</x:formula1>
      <x:formula2>10000</x:formula2>
    </x:dataValidation>
    <x:dataValidation type="decimal" operator="between" sqref="B21">
      <x:formula1>0</x:formula1>
      <x:formula2>1000</x:formula2>
    </x:dataValidation>
    <x:dataValidation type="decimal" operator="between" sqref="B22">
      <x:formula1>0</x:formula1>
      <x:formula2>10000</x:formula2>
    </x:dataValidation>
    <x:dataValidation type="decimal" operator="between" sqref="B23">
      <x:formula1>0.000001</x:formula1>
      <x:formula2>100</x:formula2>
    </x:dataValidation>
    <x:dataValidation type="decimal" operator="between" sqref="B24">
      <x:formula1>0</x:formula1>
      <x:formula2>1000</x:formula2>
    </x:dataValidation>
    <x:dataValidation type="decimal" operator="between" sqref="B25">
      <x:formula1>0</x:formula1>
      <x:formula2>1000</x:formula2>
    </x:dataValidation>
    <x:dataValidation type="decimal" operator="between" sqref="B26">
      <x:formula1>0</x:formula1>
      <x:formula2>10000</x:formula2>
    </x:dataValidation>
    <x:dataValidation type="decimal" operator="between" sqref="B27">
      <x:formula1>0</x:formula1>
      <x:formula2>10000</x:formula2>
    </x:dataValidation>
    <x:dataValidation type="decimal" operator="between" sqref="B28">
      <x:formula1>0</x:formula1>
      <x:formula2>100000</x:formula2>
    </x:dataValidation>
    <x:dataValidation type="whole" operator="between" sqref="B29">
      <x:formula1>0</x:formula1>
      <x:formula2>100000</x:formula2>
    </x:dataValidation>
    <x:dataValidation type="decimal" operator="between" sqref="B30">
      <x:formula1>0</x:formula1>
      <x:formula2>1000</x:formula2>
    </x:dataValidation>
    <x:dataValidation type="decimal" operator="between" sqref="B31">
      <x:formula1>0.000001</x:formula1>
      <x:formula2>100</x:formula2>
    </x:dataValidation>
    <x:dataValidation type="decimal" operator="between" sqref="B32">
      <x:formula1>0</x:formula1>
      <x:formula2>1000</x:formula2>
    </x:dataValidation>
    <x:dataValidation type="decimal" operator="between" sqref="B33">
      <x:formula1>0</x:formula1>
      <x:formula2>1000000</x:formula2>
    </x:dataValidation>
    <x:dataValidation type="decimal" operator="between" sqref="B34">
      <x:formula1>0</x:formula1>
      <x:formula2>10000000</x:formula2>
    </x:dataValidation>
    <x:dataValidation type="decimal" operator="between" sqref="B35">
      <x:formula1>0</x:formula1>
      <x:formula2>1000</x:formula2>
    </x:dataValidation>
    <x:dataValidation type="decimal" operator="between" sqref="B36">
      <x:formula1>0</x:formula1>
      <x:formula2>100</x:formula2>
    </x:dataValidation>
    <x:dataValidation type="decimal" operator="between" sqref="B37">
      <x:formula1>0</x:formula1>
      <x:formula2>100</x:formula2>
    </x:dataValidation>
    <x:dataValidation type="decimal" operator="between" sqref="B38">
      <x:formula1>0</x:formula1>
      <x:formula2>100</x:formula2>
    </x:dataValidation>
    <x:dataValidation type="decimal" operator="between" sqref="B39">
      <x:formula1>0</x:formula1>
      <x:formula2>1000000000</x:formula2>
    </x:dataValidation>
    <x:dataValidation type="decimal" operator="between" sqref="B40">
      <x:formula1>1</x:formula1>
      <x:formula2>1000</x:formula2>
    </x:dataValidation>
    <x:dataValidation type="whole" operator="between" sqref="B41">
      <x:formula1>0</x:formula1>
      <x:formula2>366</x:formula2>
    </x:dataValidation>
    <x:dataValidation type="decimal" operator="between" sqref="B42">
      <x:formula1>0</x:formula1>
      <x:formula2>1000000000</x:formula2>
    </x:dataValidation>
    <x:dataValidation type="decimal" operator="between" sqref="B43">
      <x:formula1>0</x:formula1>
      <x:formula2>1000000000</x:formula2>
    </x:dataValidation>
    <x:dataValidation type="decimal" operator="between" sqref="B44">
      <x:formula1>0</x:formula1>
      <x:formula2>1000000000</x:formula2>
    </x:dataValidation>
    <x:dataValidation type="decimal" operator="between" sqref="B45">
      <x:formula1>0</x:formula1>
      <x:formula2>1000000000</x:formula2>
    </x:dataValidation>
    <x:dataValidation type="decimal" operator="between" sqref="B46">
      <x:formula1>0</x:formula1>
      <x:formula2>1000000000</x:formula2>
    </x:dataValidation>
    <x:dataValidation type="decimal" operator="between" sqref="B47">
      <x:formula1>0</x:formula1>
      <x:formula2>1000000000</x:formula2>
    </x:dataValidation>
    <x:dataValidation type="decimal" operator="between" sqref="B48">
      <x:formula1>0</x:formula1>
      <x:formula2>1000000000</x:formula2>
    </x:dataValidation>
    <x:dataValidation type="decimal" operator="between" sqref="B49">
      <x:formula1>0</x:formula1>
      <x:formula2>1000000000</x:formula2>
    </x:dataValidation>
    <x:dataValidation type="decimal" operator="between" sqref="B50">
      <x:formula1>0</x:formula1>
      <x:formula2>1000000000</x:formula2>
    </x:dataValidation>
    <x:dataValidation type="decimal" operator="between" sqref="B51">
      <x:formula1>0</x:formula1>
      <x:formula2>1000000000</x:formula2>
    </x:dataValidation>
    <x:dataValidation type="decimal" operator="between" sqref="B52">
      <x:formula1>0</x:formula1>
      <x:formula2>1000000000</x:formula2>
    </x:dataValidation>
    <x:dataValidation type="decimal" operator="between" sqref="B53">
      <x:formula1>0</x:formula1>
      <x:formula2>1000000000</x:formula2>
    </x:dataValidation>
    <x:dataValidation type="decimal" operator="between" sqref="B54">
      <x:formula1>0</x:formula1>
      <x:formula2>1000000000</x:formula2>
    </x:dataValidation>
    <x:dataValidation type="decimal" operator="between" sqref="B55">
      <x:formula1>0</x:formula1>
      <x:formula2>1000000000</x:formula2>
    </x:dataValidation>
  </x:dataValidations>
  <x:pageMargins left="0.7" right="0.7" top="0.75" bottom="0.75" header="0.3" footer="0.3"/>
</x:worksheet>
</file>